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erashenko\Desktop\"/>
    </mc:Choice>
  </mc:AlternateContent>
  <xr:revisionPtr revIDLastSave="0" documentId="8_{5C18275F-49AA-4513-A82B-14B5B62FF8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  <sheet name="Лист2" sheetId="3" r:id="rId2"/>
  </sheets>
  <definedNames>
    <definedName name="_xlnm.Print_Titles" localSheetId="0">Лист1!$A:$G,Лист1!$17:$17</definedName>
  </definedNames>
  <calcPr calcId="181029"/>
</workbook>
</file>

<file path=xl/calcChain.xml><?xml version="1.0" encoding="utf-8"?>
<calcChain xmlns="http://schemas.openxmlformats.org/spreadsheetml/2006/main">
  <c r="F28" i="2" l="1"/>
  <c r="F29" i="2"/>
  <c r="F46" i="2"/>
  <c r="I46" i="2"/>
  <c r="F48" i="2"/>
  <c r="J48" i="2"/>
  <c r="F43" i="2"/>
  <c r="I44" i="2"/>
  <c r="F26" i="2"/>
  <c r="J27" i="2"/>
  <c r="F34" i="2"/>
  <c r="G34" i="2" s="1"/>
  <c r="I34" i="2"/>
  <c r="K27" i="2"/>
  <c r="J28" i="2"/>
  <c r="K19" i="2"/>
  <c r="L19" i="2" s="1"/>
  <c r="F39" i="2"/>
  <c r="G39" i="2" s="1"/>
  <c r="G38" i="2"/>
  <c r="G37" i="2"/>
  <c r="F36" i="2"/>
  <c r="G36" i="2" s="1"/>
  <c r="F35" i="2"/>
  <c r="G35" i="2" s="1"/>
  <c r="G40" i="2" l="1"/>
  <c r="F30" i="2" l="1"/>
  <c r="G30" i="2" s="1"/>
  <c r="G29" i="2"/>
  <c r="G28" i="2"/>
  <c r="F27" i="2"/>
  <c r="G27" i="2" s="1"/>
  <c r="G26" i="2"/>
  <c r="G31" i="2" l="1"/>
  <c r="F58" i="2" l="1"/>
  <c r="G58" i="2" s="1"/>
  <c r="F55" i="2"/>
  <c r="G55" i="2" s="1"/>
  <c r="F54" i="2"/>
  <c r="G54" i="2" s="1"/>
  <c r="F50" i="2"/>
  <c r="G50" i="2" s="1"/>
  <c r="F49" i="2"/>
  <c r="G49" i="2" s="1"/>
  <c r="G48" i="2"/>
  <c r="F47" i="2"/>
  <c r="G47" i="2" s="1"/>
  <c r="G46" i="2"/>
  <c r="F45" i="2"/>
  <c r="G45" i="2" s="1"/>
  <c r="F44" i="2"/>
  <c r="G44" i="2" s="1"/>
  <c r="G43" i="2"/>
  <c r="F21" i="2"/>
  <c r="G21" i="2" s="1"/>
  <c r="F20" i="2"/>
  <c r="G20" i="2" s="1"/>
  <c r="G19" i="2"/>
  <c r="G59" i="2" l="1"/>
  <c r="G51" i="2"/>
  <c r="G22" i="2"/>
  <c r="G61" i="2" l="1"/>
</calcChain>
</file>

<file path=xl/sharedStrings.xml><?xml version="1.0" encoding="utf-8"?>
<sst xmlns="http://schemas.openxmlformats.org/spreadsheetml/2006/main" count="120" uniqueCount="96">
  <si>
    <t xml:space="preserve">          М.П.</t>
  </si>
  <si>
    <t xml:space="preserve">            М.П.</t>
  </si>
  <si>
    <t>РНиП 4.05.01-93</t>
  </si>
  <si>
    <t>Стоимость ч/д=540 руб. Письмо МК РФ№01-212/16-14 от 13.10.98</t>
  </si>
  <si>
    <t>К=1,2 метод.руководство общ.ч.п.1.5</t>
  </si>
  <si>
    <t>к-4,00 - Письмо МК РФ  № 107-01-39/10-КЧ от 20.12.2011 г.</t>
  </si>
  <si>
    <t>К=540х4,00=2160,00</t>
  </si>
  <si>
    <t>№</t>
  </si>
  <si>
    <t>Наименование работ</t>
  </si>
  <si>
    <t>Обоснование стоимости</t>
  </si>
  <si>
    <t>Ед. измер</t>
  </si>
  <si>
    <t>Кол-во</t>
  </si>
  <si>
    <t>Цена за ед.измер, руб.</t>
  </si>
  <si>
    <t>Сумма руб.</t>
  </si>
  <si>
    <t>Раздел I. Предварительные работы.</t>
  </si>
  <si>
    <t>памятник</t>
  </si>
  <si>
    <t>негатив</t>
  </si>
  <si>
    <t>Т.6.4 пп.5.5</t>
  </si>
  <si>
    <t>отпечаток</t>
  </si>
  <si>
    <t>10 позиций</t>
  </si>
  <si>
    <t>ИТОГО по разделу I с учетом научно-методического руководства</t>
  </si>
  <si>
    <t>Преобразование и ввод графической информации.                                                                2,4*2160</t>
  </si>
  <si>
    <t>Раздел 8. Т.10 п.1.3, Т.10.1 п.I.</t>
  </si>
  <si>
    <t>форматка</t>
  </si>
  <si>
    <t>Преобразование и ввод графической информации.                                                                4,1*2160</t>
  </si>
  <si>
    <t>Раздел 8. Т.10 п.2.3, Т.10.1 п.II.</t>
  </si>
  <si>
    <t>ИТОГО по разделу II с учетом научно-методического руководства</t>
  </si>
  <si>
    <t>зондаж</t>
  </si>
  <si>
    <t>форм</t>
  </si>
  <si>
    <t>п.л.</t>
  </si>
  <si>
    <t xml:space="preserve">Т.6.4 пп.5.5
</t>
  </si>
  <si>
    <t>ИТОГО по разделу III с учетом научно-методического руководства</t>
  </si>
  <si>
    <t>пам.</t>
  </si>
  <si>
    <t>Т.7.1 п.1.5</t>
  </si>
  <si>
    <t>Т.7.1 п.1.7</t>
  </si>
  <si>
    <t>Ввод текстовой информации в ПК     0,05*2160</t>
  </si>
  <si>
    <t xml:space="preserve">Р8. Т.11.  п.2.4.    </t>
  </si>
  <si>
    <t>Вывод тектсовой информации из ПК 0,07*2160</t>
  </si>
  <si>
    <t xml:space="preserve">Р8. Т.14.  п.1.4.    </t>
  </si>
  <si>
    <t>Т.1.15 п.1.5.</t>
  </si>
  <si>
    <t>п/л</t>
  </si>
  <si>
    <t>ВСЕГО по смете</t>
  </si>
  <si>
    <t>Фотофиксация                                                          0,014*1,2*2160</t>
  </si>
  <si>
    <t>Т.6.4 пп.1.3 к=1,2 науч. рук.</t>
  </si>
  <si>
    <t>Т1.2 пп.3-10 стр 4 к=1,2 науч. рук.</t>
  </si>
  <si>
    <t>Категория сложности IV</t>
  </si>
  <si>
    <t>Зондажи. Фиксация 
1,27*1,2*2160</t>
  </si>
  <si>
    <t>Печать фотографий в 4-ти экз.          0,167*2160</t>
  </si>
  <si>
    <t>Т. 1.15 п.2.6 К=1,2 Общая часть п. 1.5.</t>
  </si>
  <si>
    <t>Т. 1.15, п.1-5
к=1,1 поясн п.2 К=1,2 Общая часть п. 1.5.</t>
  </si>
  <si>
    <t>Преобразование и ввод графической информации.                                                                4,1*2160*0,5</t>
  </si>
  <si>
    <t>Раздел 8. Т.10 п.2.3, Т.10.1 п.II. К=0,5 на уже введённую информацию</t>
  </si>
  <si>
    <t>Пояснительные записки к разделам, ведомости потребности в материалах и оборудовании.
57,68*2160,00*1,2</t>
  </si>
  <si>
    <t>Т.1.20, п.6-3/4                                    К=1,2 поясн. 2  К=1,2 Общая часть п. 1.5.</t>
  </si>
  <si>
    <t>Т. 1.15, п.1.6
 К=1,2 Общая часть п. 1.5.</t>
  </si>
  <si>
    <t>Составление ведомости работ при наличии документации                                                       1,03*2160*1,2</t>
  </si>
  <si>
    <t>Составление сметного расчета по развернутой форме                              0,82*2160*1,2</t>
  </si>
  <si>
    <t>Составление пояснительной записки  46,15*2160*1,2</t>
  </si>
  <si>
    <t>ИТОГО по разделу V с учетом научно-методического руководства</t>
  </si>
  <si>
    <t>СМЕТА № 1</t>
  </si>
  <si>
    <t xml:space="preserve">Заказчик: </t>
  </si>
  <si>
    <t>Ген. Директор ООО НРПМ «Феникс»</t>
  </si>
  <si>
    <t>/А.Э. Колмаков /</t>
  </si>
  <si>
    <t>Подрядчик:</t>
  </si>
  <si>
    <t>Приложение № 2 к Договору №  _______</t>
  </si>
  <si>
    <t>от "__" ______21г.</t>
  </si>
  <si>
    <t xml:space="preserve">Vпам.=2,9куб.м. </t>
  </si>
  <si>
    <t>Стоимость научно проектных работ - _________руб.</t>
  </si>
  <si>
    <t>Зондажи. Исследования. 
1,08*1,2*1,3*1,1*1,3*1,2*2160</t>
  </si>
  <si>
    <t>Т.1.10 п.1-6 
к=1.2  пояс.к таб п.1  
к=1,3 1,1,1,3 - прил.4, п.1,2,4 К=1,2 Общая часть п. 1.5.</t>
  </si>
  <si>
    <t>Т.1.10 пп.2.6 К=1,2 Общая часть п. 1.5.</t>
  </si>
  <si>
    <t>Составление отчета                            61,13*1,2*2160</t>
  </si>
  <si>
    <t>для сохранения объекта культурного наследия федерального наследия медецинский центр Марфо-Мариинской обители милосердия</t>
  </si>
  <si>
    <t>Предварительные работы (1,29+2,41+3,40+4,42+2,97+1,83+2,36+0,94)*1,0*1,2*1,0*2160</t>
  </si>
  <si>
    <t xml:space="preserve">Раздел II. Архитектурно-археологические обмеры. </t>
  </si>
  <si>
    <t>Инженерные исследования памятника (Крыша) 24,75+((2,9-2)/(3-2))*(27,25-24,75)=27    27*1,2*1,3*1,1*1,3*1,2*0,3*2160</t>
  </si>
  <si>
    <t>Т. 1.13 п.5-6.5 К=1,2 Общая часть п. 1.5.к=1.2  пояс.к таб п.1  
к=1,3 1,1,1,3 - прил.4, п.1,2,4 к=0,3(Крыша)</t>
  </si>
  <si>
    <t>Планы   10,62+((2,9-2)/(3-2))*(13,26-10,62) =12,996    
12,996*1,2*1,1*1,3*1,3*2160*0,3</t>
  </si>
  <si>
    <t>Т. 1.5 пп. 15-16
к=1,2 науч. рук. к=0,3(Крыша)</t>
  </si>
  <si>
    <t>Т.1,16 п.5-6 
К=1,2 Общая часть п. 1.5. к=0,3(Крыша)</t>
  </si>
  <si>
    <t>Т. 1.28, п.5-6/6                      К=0,15 молниез.поясн. 2 к табл. 1.28 К=1,2 Общая часть п. 1.5.</t>
  </si>
  <si>
    <t>Молниезащита, 53,68+((2,9-2)/(3-2))*(66,92-53,68)=65,596                                                          65,596*0,15*1,2*2160</t>
  </si>
  <si>
    <t>Архитектурные археологические обмеры  частей и элементов памятника                                                                   а) Фрагменты 
1,25*1,1*1,3*1,3*2160*0,3</t>
  </si>
  <si>
    <t>Т.1.8 п.1-5 
к=1,1:1,3 прил.4 п.1,2,4            
к=1,2 науч. рук. к=0,3(Крыша)</t>
  </si>
  <si>
    <t>Т.1.9 п.2-7 
 к=1,2 науч. рук.       
к=0,3(Крыша)</t>
  </si>
  <si>
    <t>б) Детали 0,2*1,2*2160*0,3</t>
  </si>
  <si>
    <t>Пояснительная записка к проекту ремонта памятника
46,15*1,1*1,2*2160,00</t>
  </si>
  <si>
    <r>
      <t xml:space="preserve">Архитектурные решения  проекта ремонта памятника </t>
    </r>
    <r>
      <rPr>
        <b/>
        <sz val="11"/>
        <rFont val="Times New Roman"/>
        <family val="1"/>
        <charset val="204"/>
      </rPr>
      <t>Картограммы работ Картограммы деффектов</t>
    </r>
    <r>
      <rPr>
        <sz val="11"/>
        <rFont val="Times New Roman"/>
        <family val="1"/>
        <charset val="204"/>
      </rPr>
      <t xml:space="preserve">
а) Планы   13,06+((2,9-2)/(3-2))*(16,86-13,6)=15,994                                                     15,994*1,2*2160*0,3</t>
    </r>
  </si>
  <si>
    <t>Проект организации ремонта (Стройгенплан)                                                     7,95+((2,9-2)/(3-2))*(9,8-7,95)=9,615*1,2*1,2*2160</t>
  </si>
  <si>
    <t>_________________________</t>
  </si>
  <si>
    <t xml:space="preserve"> ________________ /___________ /</t>
  </si>
  <si>
    <t>Раздел III. Инженерные исследования памятника.</t>
  </si>
  <si>
    <t>Раздел IV. Проект ремонтных работ.</t>
  </si>
  <si>
    <t>ИТОГО по разделу IV</t>
  </si>
  <si>
    <t>Раздел V. Сметная документация</t>
  </si>
  <si>
    <r>
      <t xml:space="preserve">на </t>
    </r>
    <r>
      <rPr>
        <b/>
        <sz val="11"/>
        <color theme="1"/>
        <rFont val="Times New Roman"/>
        <family val="1"/>
        <charset val="204"/>
      </rPr>
      <t>проект</t>
    </r>
    <r>
      <rPr>
        <sz val="11"/>
        <color theme="1"/>
        <rFont val="Times New Roman"/>
        <family val="1"/>
        <charset val="204"/>
      </rPr>
      <t xml:space="preserve"> ремонта крышы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</si>
</sst>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164" fontId="8" fillId="0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2" fontId="9" fillId="0" borderId="8" xfId="0" applyNumberFormat="1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164" fontId="9" fillId="0" borderId="8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2" fontId="8" fillId="0" borderId="8" xfId="0" applyNumberFormat="1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horizontal="center" vertical="top" wrapText="1"/>
      <protection locked="0"/>
    </xf>
    <xf numFmtId="164" fontId="8" fillId="0" borderId="8" xfId="0" applyNumberFormat="1" applyFont="1" applyFill="1" applyBorder="1" applyAlignment="1" applyProtection="1">
      <alignment horizontal="righ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2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/>
      <protection locked="0"/>
    </xf>
    <xf numFmtId="164" fontId="10" fillId="0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2" fontId="9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164" fontId="9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164" fontId="9" fillId="0" borderId="11" xfId="0" applyNumberFormat="1" applyFont="1" applyFill="1" applyBorder="1" applyAlignment="1" applyProtection="1">
      <alignment horizontal="righ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0" fillId="0" borderId="2" xfId="0" applyFont="1" applyBorder="1"/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164" fontId="8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8" fillId="0" borderId="5" xfId="0" applyNumberFormat="1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2" fontId="8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2" fontId="8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164" fontId="9" fillId="0" borderId="6" xfId="0" applyNumberFormat="1" applyFont="1" applyFill="1" applyBorder="1" applyAlignment="1" applyProtection="1">
      <alignment horizontal="right" vertical="top" wrapText="1"/>
      <protection locked="0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2" fontId="11" fillId="2" borderId="2" xfId="0" applyNumberFormat="1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7" xfId="0" applyFont="1" applyBorder="1" applyAlignment="1"/>
    <xf numFmtId="0" fontId="7" fillId="0" borderId="2" xfId="0" applyFont="1" applyBorder="1" applyAlignment="1"/>
    <xf numFmtId="0" fontId="0" fillId="0" borderId="11" xfId="0" applyFont="1" applyBorder="1" applyAlignment="1"/>
    <xf numFmtId="0" fontId="0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7" xfId="0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Fill="1" applyBorder="1" applyAlignment="1" applyProtection="1">
      <alignment vertical="top" wrapText="1"/>
      <protection locked="0"/>
    </xf>
    <xf numFmtId="0" fontId="12" fillId="0" borderId="8" xfId="0" applyFont="1" applyFill="1" applyBorder="1" applyAlignment="1" applyProtection="1">
      <alignment vertical="top" wrapText="1"/>
      <protection locked="0"/>
    </xf>
    <xf numFmtId="0" fontId="12" fillId="0" borderId="8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164" fontId="12" fillId="0" borderId="2" xfId="0" applyNumberFormat="1" applyFont="1" applyFill="1" applyBorder="1" applyAlignment="1" applyProtection="1">
      <alignment horizontal="right" vertical="top" wrapText="1"/>
      <protection locked="0"/>
    </xf>
    <xf numFmtId="2" fontId="12" fillId="0" borderId="8" xfId="0" applyNumberFormat="1" applyFont="1" applyFill="1" applyBorder="1" applyAlignment="1" applyProtection="1">
      <alignment vertical="top" wrapText="1"/>
      <protection locked="0"/>
    </xf>
    <xf numFmtId="164" fontId="12" fillId="0" borderId="8" xfId="0" applyNumberFormat="1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2" fontId="13" fillId="0" borderId="8" xfId="0" applyNumberFormat="1" applyFont="1" applyFill="1" applyBorder="1" applyAlignment="1" applyProtection="1">
      <alignment vertical="top" wrapText="1"/>
      <protection locked="0"/>
    </xf>
    <xf numFmtId="0" fontId="13" fillId="0" borderId="8" xfId="0" applyFont="1" applyFill="1" applyBorder="1" applyAlignment="1" applyProtection="1">
      <alignment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164" fontId="13" fillId="0" borderId="8" xfId="0" applyNumberFormat="1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164" fontId="12" fillId="0" borderId="11" xfId="0" applyNumberFormat="1" applyFont="1" applyFill="1" applyBorder="1" applyAlignment="1" applyProtection="1">
      <alignment horizontal="right"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4" xfId="0" applyFont="1" applyFill="1" applyBorder="1" applyAlignment="1" applyProtection="1">
      <alignment vertical="top" wrapText="1"/>
      <protection locked="0"/>
    </xf>
    <xf numFmtId="16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164" fontId="12" fillId="0" borderId="11" xfId="0" applyNumberFormat="1" applyFont="1" applyBorder="1" applyAlignment="1" applyProtection="1">
      <alignment horizontal="right" vertical="top" wrapText="1"/>
      <protection locked="0"/>
    </xf>
    <xf numFmtId="164" fontId="12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/>
    </xf>
    <xf numFmtId="0" fontId="13" fillId="0" borderId="7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7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0" fillId="0" borderId="2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zoomScale="124" zoomScaleNormal="124" workbookViewId="0">
      <selection activeCell="F13" sqref="F13"/>
    </sheetView>
  </sheetViews>
  <sheetFormatPr defaultRowHeight="15" x14ac:dyDescent="0.25"/>
  <cols>
    <col min="1" max="1" width="4.85546875" customWidth="1"/>
    <col min="2" max="2" width="31.42578125" customWidth="1"/>
    <col min="3" max="3" width="17.7109375" customWidth="1"/>
    <col min="4" max="4" width="10.7109375" customWidth="1"/>
    <col min="5" max="5" width="7" customWidth="1"/>
    <col min="6" max="6" width="14" customWidth="1"/>
    <col min="7" max="7" width="12.7109375" customWidth="1"/>
  </cols>
  <sheetData>
    <row r="1" spans="1:7" ht="15.75" x14ac:dyDescent="0.25">
      <c r="A1" s="1"/>
      <c r="B1" s="1"/>
      <c r="D1" s="1"/>
      <c r="E1" s="1"/>
      <c r="F1" s="1"/>
      <c r="G1" s="79" t="s">
        <v>64</v>
      </c>
    </row>
    <row r="2" spans="1:7" ht="15.75" x14ac:dyDescent="0.25">
      <c r="A2" s="1"/>
      <c r="B2" s="2"/>
      <c r="C2" s="2"/>
      <c r="D2" s="2"/>
      <c r="F2" s="71"/>
      <c r="G2" s="77" t="s">
        <v>65</v>
      </c>
    </row>
    <row r="3" spans="1:7" x14ac:dyDescent="0.25">
      <c r="A3" s="1"/>
      <c r="B3" s="2"/>
      <c r="C3" s="2"/>
      <c r="D3" s="2"/>
      <c r="E3" s="2"/>
      <c r="F3" s="2"/>
      <c r="G3" s="2"/>
    </row>
    <row r="4" spans="1:7" x14ac:dyDescent="0.25">
      <c r="A4" s="1"/>
      <c r="B4" s="2"/>
      <c r="C4" s="3"/>
      <c r="D4" s="2"/>
      <c r="E4" s="2"/>
      <c r="F4" s="2"/>
      <c r="G4" s="2"/>
    </row>
    <row r="5" spans="1:7" ht="15.75" x14ac:dyDescent="0.25">
      <c r="A5" s="1"/>
      <c r="B5" s="2"/>
      <c r="C5" s="111" t="s">
        <v>59</v>
      </c>
      <c r="D5" s="111"/>
      <c r="E5" s="2"/>
      <c r="F5" s="2"/>
      <c r="G5" s="2"/>
    </row>
    <row r="6" spans="1:7" ht="15.75" customHeight="1" x14ac:dyDescent="0.25">
      <c r="A6" s="1"/>
      <c r="B6" s="115" t="s">
        <v>95</v>
      </c>
      <c r="C6" s="115"/>
      <c r="D6" s="115"/>
      <c r="E6" s="115"/>
      <c r="F6" s="115"/>
      <c r="G6" s="115"/>
    </row>
    <row r="7" spans="1:7" ht="33" customHeight="1" x14ac:dyDescent="0.25">
      <c r="A7" s="1"/>
      <c r="B7" s="116" t="s">
        <v>72</v>
      </c>
      <c r="C7" s="116"/>
      <c r="D7" s="116"/>
      <c r="E7" s="116"/>
      <c r="F7" s="116"/>
      <c r="G7" s="116"/>
    </row>
    <row r="8" spans="1:7" x14ac:dyDescent="0.25">
      <c r="A8" s="1"/>
      <c r="B8" s="2"/>
      <c r="C8" s="2"/>
      <c r="D8" s="2"/>
      <c r="E8" s="2"/>
      <c r="F8" s="2"/>
      <c r="G8" s="2"/>
    </row>
    <row r="9" spans="1:7" x14ac:dyDescent="0.25">
      <c r="A9" s="1"/>
      <c r="B9" s="2" t="s">
        <v>2</v>
      </c>
      <c r="C9" s="2"/>
      <c r="D9" s="2"/>
      <c r="E9" s="2"/>
      <c r="F9" s="2"/>
      <c r="G9" s="2"/>
    </row>
    <row r="10" spans="1:7" x14ac:dyDescent="0.25">
      <c r="A10" s="1"/>
      <c r="B10" s="2" t="s">
        <v>3</v>
      </c>
      <c r="C10" s="2"/>
      <c r="D10" s="2"/>
      <c r="E10" s="2"/>
      <c r="F10" s="2"/>
      <c r="G10" s="2"/>
    </row>
    <row r="11" spans="1:7" x14ac:dyDescent="0.25">
      <c r="A11" s="1"/>
      <c r="B11" s="2" t="s">
        <v>4</v>
      </c>
      <c r="C11" s="2"/>
      <c r="D11" s="2"/>
      <c r="E11" s="2"/>
      <c r="F11" s="2"/>
      <c r="G11" s="2"/>
    </row>
    <row r="12" spans="1:7" x14ac:dyDescent="0.25">
      <c r="A12" s="1"/>
      <c r="B12" s="2" t="s">
        <v>5</v>
      </c>
      <c r="C12" s="2"/>
      <c r="D12" s="2"/>
      <c r="E12" s="2"/>
      <c r="F12" s="2"/>
      <c r="G12" s="2"/>
    </row>
    <row r="13" spans="1:7" x14ac:dyDescent="0.25">
      <c r="A13" s="1"/>
      <c r="B13" s="2" t="s">
        <v>45</v>
      </c>
      <c r="C13" s="2"/>
      <c r="D13" s="2"/>
      <c r="E13" s="2"/>
      <c r="F13" s="2"/>
      <c r="G13" s="2"/>
    </row>
    <row r="14" spans="1:7" x14ac:dyDescent="0.25">
      <c r="A14" s="1"/>
      <c r="B14" s="2" t="s">
        <v>6</v>
      </c>
      <c r="C14" s="2"/>
      <c r="D14" s="2"/>
      <c r="E14" s="2"/>
      <c r="F14" s="2"/>
      <c r="G14" s="2"/>
    </row>
    <row r="15" spans="1:7" x14ac:dyDescent="0.25">
      <c r="A15" s="1"/>
      <c r="B15" s="2" t="s">
        <v>66</v>
      </c>
      <c r="C15" s="2"/>
      <c r="E15" s="71"/>
      <c r="F15" s="71"/>
      <c r="G15" s="72" t="s">
        <v>67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12" ht="45.75" customHeight="1" x14ac:dyDescent="0.25">
      <c r="A17" s="9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1" t="s">
        <v>12</v>
      </c>
      <c r="G17" s="11" t="s">
        <v>13</v>
      </c>
    </row>
    <row r="18" spans="1:12" ht="18.75" customHeight="1" x14ac:dyDescent="0.25">
      <c r="A18" s="12"/>
      <c r="B18" s="13" t="s">
        <v>14</v>
      </c>
      <c r="C18" s="14"/>
      <c r="D18" s="15"/>
      <c r="E18" s="15"/>
      <c r="F18" s="16"/>
      <c r="G18" s="16"/>
    </row>
    <row r="19" spans="1:12" ht="45" x14ac:dyDescent="0.25">
      <c r="A19" s="17">
        <v>1</v>
      </c>
      <c r="B19" s="18" t="s">
        <v>73</v>
      </c>
      <c r="C19" s="19" t="s">
        <v>44</v>
      </c>
      <c r="D19" s="20" t="s">
        <v>15</v>
      </c>
      <c r="E19" s="20">
        <v>1</v>
      </c>
      <c r="F19" s="21">
        <v>50855.040000000001</v>
      </c>
      <c r="G19" s="21">
        <f>F19*E19</f>
        <v>50855.040000000001</v>
      </c>
      <c r="K19">
        <f>(1.29+2.41+3.4+4.42+2.97+1.83+2.36+0.94)*1*1.2*1*2160</f>
        <v>50855.040000000001</v>
      </c>
      <c r="L19">
        <f>K19*1.2</f>
        <v>61026.047999999995</v>
      </c>
    </row>
    <row r="20" spans="1:12" ht="30" x14ac:dyDescent="0.25">
      <c r="A20" s="22">
        <v>2</v>
      </c>
      <c r="B20" s="23" t="s">
        <v>42</v>
      </c>
      <c r="C20" s="23" t="s">
        <v>43</v>
      </c>
      <c r="D20" s="23" t="s">
        <v>16</v>
      </c>
      <c r="E20" s="24">
        <v>18</v>
      </c>
      <c r="F20" s="23">
        <f>0.014*1.2*2160</f>
        <v>36.287999999999997</v>
      </c>
      <c r="G20" s="23">
        <f>F20*E20</f>
        <v>653.18399999999997</v>
      </c>
    </row>
    <row r="21" spans="1:12" ht="30" x14ac:dyDescent="0.25">
      <c r="A21" s="17">
        <v>3</v>
      </c>
      <c r="B21" s="18" t="s">
        <v>47</v>
      </c>
      <c r="C21" s="19" t="s">
        <v>17</v>
      </c>
      <c r="D21" s="20" t="s">
        <v>18</v>
      </c>
      <c r="E21" s="20">
        <v>72</v>
      </c>
      <c r="F21" s="21">
        <f>0.167*2160</f>
        <v>360.72</v>
      </c>
      <c r="G21" s="21">
        <f>F21*E21</f>
        <v>25971.840000000004</v>
      </c>
    </row>
    <row r="22" spans="1:12" ht="42.75" x14ac:dyDescent="0.25">
      <c r="A22" s="25"/>
      <c r="B22" s="26" t="s">
        <v>20</v>
      </c>
      <c r="C22" s="27"/>
      <c r="D22" s="28"/>
      <c r="E22" s="28"/>
      <c r="F22" s="29"/>
      <c r="G22" s="29">
        <f>G21+G20+G19</f>
        <v>77480.064000000013</v>
      </c>
    </row>
    <row r="23" spans="1:12" x14ac:dyDescent="0.25">
      <c r="A23" s="30"/>
      <c r="B23" s="31"/>
      <c r="C23" s="32"/>
      <c r="D23" s="33"/>
      <c r="E23" s="33"/>
      <c r="F23" s="34"/>
      <c r="G23" s="35"/>
    </row>
    <row r="24" spans="1:12" x14ac:dyDescent="0.25">
      <c r="A24" s="30"/>
      <c r="B24" s="31"/>
      <c r="C24" s="32"/>
      <c r="D24" s="33"/>
      <c r="E24" s="33"/>
      <c r="F24" s="34"/>
      <c r="G24" s="35"/>
    </row>
    <row r="25" spans="1:12" ht="15.75" customHeight="1" x14ac:dyDescent="0.25">
      <c r="A25" s="80"/>
      <c r="B25" s="112" t="s">
        <v>74</v>
      </c>
      <c r="C25" s="113"/>
      <c r="D25" s="113"/>
      <c r="E25" s="113"/>
      <c r="F25" s="113"/>
      <c r="G25" s="114"/>
    </row>
    <row r="26" spans="1:12" ht="63" x14ac:dyDescent="0.25">
      <c r="A26" s="81">
        <v>4</v>
      </c>
      <c r="B26" s="82" t="s">
        <v>77</v>
      </c>
      <c r="C26" s="83" t="s">
        <v>78</v>
      </c>
      <c r="D26" s="84" t="s">
        <v>15</v>
      </c>
      <c r="E26" s="85">
        <v>1</v>
      </c>
      <c r="F26" s="86">
        <f>12.996*1.2*1.1*1.3*1.3*2160*0.3</f>
        <v>18786.476966400001</v>
      </c>
      <c r="G26" s="86">
        <f t="shared" ref="G26:G30" si="0">F26*E26</f>
        <v>18786.476966400001</v>
      </c>
    </row>
    <row r="27" spans="1:12" ht="47.25" x14ac:dyDescent="0.25">
      <c r="A27" s="81">
        <v>5</v>
      </c>
      <c r="B27" s="87" t="s">
        <v>21</v>
      </c>
      <c r="C27" s="83" t="s">
        <v>22</v>
      </c>
      <c r="D27" s="84" t="s">
        <v>23</v>
      </c>
      <c r="E27" s="84">
        <v>8</v>
      </c>
      <c r="F27" s="88">
        <f>2.4*2160</f>
        <v>5184</v>
      </c>
      <c r="G27" s="88">
        <f t="shared" si="0"/>
        <v>41472</v>
      </c>
      <c r="J27">
        <f>12.996*1.2*1.1*1.3*1.3*2160*0.4</f>
        <v>25048.635955200007</v>
      </c>
      <c r="K27">
        <f>J27*1.2</f>
        <v>30058.363146240008</v>
      </c>
    </row>
    <row r="28" spans="1:12" ht="78.75" x14ac:dyDescent="0.25">
      <c r="A28" s="81">
        <v>6</v>
      </c>
      <c r="B28" s="89" t="s">
        <v>82</v>
      </c>
      <c r="C28" s="90" t="s">
        <v>83</v>
      </c>
      <c r="D28" s="91" t="s">
        <v>23</v>
      </c>
      <c r="E28" s="91">
        <v>6</v>
      </c>
      <c r="F28" s="92">
        <f>1.25*1.1*1.3*1.3*2160*0.3</f>
        <v>1505.79</v>
      </c>
      <c r="G28" s="92">
        <f t="shared" si="0"/>
        <v>9034.74</v>
      </c>
      <c r="J28">
        <f>10.62+((2.9-2)/(3-2))*(13.26-10.62)</f>
        <v>12.995999999999999</v>
      </c>
    </row>
    <row r="29" spans="1:12" ht="47.25" x14ac:dyDescent="0.25">
      <c r="A29" s="81">
        <v>7</v>
      </c>
      <c r="B29" s="89" t="s">
        <v>85</v>
      </c>
      <c r="C29" s="90" t="s">
        <v>84</v>
      </c>
      <c r="D29" s="91" t="s">
        <v>23</v>
      </c>
      <c r="E29" s="91">
        <v>4</v>
      </c>
      <c r="F29" s="92">
        <f>0.2*1.2*2160*0.3</f>
        <v>155.51999999999998</v>
      </c>
      <c r="G29" s="92">
        <f t="shared" si="0"/>
        <v>622.07999999999993</v>
      </c>
    </row>
    <row r="30" spans="1:12" ht="47.25" customHeight="1" x14ac:dyDescent="0.25">
      <c r="A30" s="81">
        <v>8</v>
      </c>
      <c r="B30" s="87" t="s">
        <v>24</v>
      </c>
      <c r="C30" s="83" t="s">
        <v>25</v>
      </c>
      <c r="D30" s="84" t="s">
        <v>23</v>
      </c>
      <c r="E30" s="84">
        <v>10</v>
      </c>
      <c r="F30" s="88">
        <f>4.1*2160</f>
        <v>8856</v>
      </c>
      <c r="G30" s="88">
        <f t="shared" si="0"/>
        <v>88560</v>
      </c>
    </row>
    <row r="31" spans="1:12" ht="20.25" customHeight="1" x14ac:dyDescent="0.25">
      <c r="A31" s="93"/>
      <c r="B31" s="94" t="s">
        <v>26</v>
      </c>
      <c r="C31" s="95"/>
      <c r="D31" s="96"/>
      <c r="E31" s="96"/>
      <c r="F31" s="97"/>
      <c r="G31" s="97">
        <f>SUM(G26:G30)</f>
        <v>158475.2969664</v>
      </c>
      <c r="H31" s="117"/>
      <c r="I31" s="118"/>
    </row>
    <row r="32" spans="1:12" x14ac:dyDescent="0.25">
      <c r="A32" s="124"/>
      <c r="B32" s="124"/>
      <c r="C32" s="124"/>
      <c r="D32" s="124"/>
      <c r="E32" s="124"/>
      <c r="F32" s="124"/>
      <c r="G32" s="44"/>
    </row>
    <row r="33" spans="1:10" ht="15.75" customHeight="1" x14ac:dyDescent="0.25">
      <c r="A33" s="80"/>
      <c r="B33" s="112" t="s">
        <v>91</v>
      </c>
      <c r="C33" s="125"/>
      <c r="D33" s="125"/>
      <c r="E33" s="125"/>
      <c r="F33" s="125"/>
      <c r="G33" s="126"/>
    </row>
    <row r="34" spans="1:10" ht="126" x14ac:dyDescent="0.25">
      <c r="A34" s="81">
        <v>9</v>
      </c>
      <c r="B34" s="98" t="s">
        <v>75</v>
      </c>
      <c r="C34" s="98" t="s">
        <v>76</v>
      </c>
      <c r="D34" s="85" t="s">
        <v>15</v>
      </c>
      <c r="E34" s="85">
        <v>1</v>
      </c>
      <c r="F34" s="99">
        <f>27*1.2*1.3*1.1*1.3*1.2*0.3*2160</f>
        <v>46836.09216</v>
      </c>
      <c r="G34" s="86">
        <f t="shared" ref="G34:G39" si="1">F34*E34</f>
        <v>46836.09216</v>
      </c>
      <c r="I34">
        <f>24.75+((2.9-2)/(3-2))*(27.25-24.75)</f>
        <v>27</v>
      </c>
    </row>
    <row r="35" spans="1:10" ht="110.25" x14ac:dyDescent="0.25">
      <c r="A35" s="81">
        <v>10</v>
      </c>
      <c r="B35" s="100" t="s">
        <v>68</v>
      </c>
      <c r="C35" s="101" t="s">
        <v>69</v>
      </c>
      <c r="D35" s="84" t="s">
        <v>27</v>
      </c>
      <c r="E35" s="84">
        <v>3</v>
      </c>
      <c r="F35" s="102">
        <f>1.08*1.2*1.3*1.1*1.2*2160</f>
        <v>4803.7017599999999</v>
      </c>
      <c r="G35" s="88">
        <f t="shared" si="1"/>
        <v>14411.10528</v>
      </c>
    </row>
    <row r="36" spans="1:10" ht="52.5" customHeight="1" x14ac:dyDescent="0.25">
      <c r="A36" s="81">
        <v>11</v>
      </c>
      <c r="B36" s="103" t="s">
        <v>46</v>
      </c>
      <c r="C36" s="104" t="s">
        <v>70</v>
      </c>
      <c r="D36" s="84" t="s">
        <v>23</v>
      </c>
      <c r="E36" s="85">
        <v>2</v>
      </c>
      <c r="F36" s="86">
        <f>1.27*1.2*2160</f>
        <v>3291.84</v>
      </c>
      <c r="G36" s="86">
        <f t="shared" si="1"/>
        <v>6583.68</v>
      </c>
    </row>
    <row r="37" spans="1:10" ht="57" customHeight="1" x14ac:dyDescent="0.25">
      <c r="A37" s="81">
        <v>12</v>
      </c>
      <c r="B37" s="87" t="s">
        <v>24</v>
      </c>
      <c r="C37" s="83" t="s">
        <v>25</v>
      </c>
      <c r="D37" s="84" t="s">
        <v>23</v>
      </c>
      <c r="E37" s="84">
        <v>2</v>
      </c>
      <c r="F37" s="88">
        <v>8856</v>
      </c>
      <c r="G37" s="88">
        <f t="shared" si="1"/>
        <v>17712</v>
      </c>
    </row>
    <row r="38" spans="1:10" ht="41.25" customHeight="1" x14ac:dyDescent="0.25">
      <c r="A38" s="81">
        <v>13</v>
      </c>
      <c r="B38" s="98" t="s">
        <v>47</v>
      </c>
      <c r="C38" s="105" t="s">
        <v>30</v>
      </c>
      <c r="D38" s="85" t="s">
        <v>18</v>
      </c>
      <c r="E38" s="85">
        <v>6</v>
      </c>
      <c r="F38" s="99">
        <v>360.72</v>
      </c>
      <c r="G38" s="86">
        <f t="shared" si="1"/>
        <v>2164.3200000000002</v>
      </c>
    </row>
    <row r="39" spans="1:10" ht="48.75" customHeight="1" x14ac:dyDescent="0.25">
      <c r="A39" s="81">
        <v>14</v>
      </c>
      <c r="B39" s="106" t="s">
        <v>71</v>
      </c>
      <c r="C39" s="107" t="s">
        <v>48</v>
      </c>
      <c r="D39" s="108" t="s">
        <v>29</v>
      </c>
      <c r="E39" s="108">
        <v>0.4</v>
      </c>
      <c r="F39" s="109">
        <f>61.13*1.2*2160</f>
        <v>158448.95999999999</v>
      </c>
      <c r="G39" s="110">
        <f t="shared" si="1"/>
        <v>63379.584000000003</v>
      </c>
    </row>
    <row r="40" spans="1:10" ht="57.75" customHeight="1" x14ac:dyDescent="0.25">
      <c r="A40" s="93"/>
      <c r="B40" s="94" t="s">
        <v>31</v>
      </c>
      <c r="C40" s="95"/>
      <c r="D40" s="96"/>
      <c r="E40" s="96"/>
      <c r="F40" s="97"/>
      <c r="G40" s="97">
        <f>SUM(G34:G39)</f>
        <v>151086.78144000002</v>
      </c>
    </row>
    <row r="41" spans="1:10" x14ac:dyDescent="0.25">
      <c r="A41" s="36"/>
      <c r="B41" s="31"/>
      <c r="C41" s="32"/>
      <c r="D41" s="33"/>
      <c r="E41" s="33"/>
      <c r="F41" s="34"/>
      <c r="G41" s="35"/>
    </row>
    <row r="42" spans="1:10" ht="15.75" x14ac:dyDescent="0.25">
      <c r="A42" s="12"/>
      <c r="B42" s="119" t="s">
        <v>92</v>
      </c>
      <c r="C42" s="120"/>
      <c r="D42" s="120"/>
      <c r="E42" s="120"/>
      <c r="F42" s="120"/>
      <c r="G42" s="121"/>
    </row>
    <row r="43" spans="1:10" ht="104.25" x14ac:dyDescent="0.25">
      <c r="A43" s="12">
        <v>15</v>
      </c>
      <c r="B43" s="42" t="s">
        <v>87</v>
      </c>
      <c r="C43" s="42" t="s">
        <v>79</v>
      </c>
      <c r="D43" s="38" t="s">
        <v>15</v>
      </c>
      <c r="E43" s="38">
        <v>1</v>
      </c>
      <c r="F43" s="41">
        <f>15.994*1.2*2160*0.3</f>
        <v>12436.934399999998</v>
      </c>
      <c r="G43" s="39">
        <f t="shared" ref="G43:G50" si="2">F43*E43</f>
        <v>12436.934399999998</v>
      </c>
    </row>
    <row r="44" spans="1:10" ht="75" x14ac:dyDescent="0.25">
      <c r="A44" s="12">
        <v>16</v>
      </c>
      <c r="B44" s="18" t="s">
        <v>50</v>
      </c>
      <c r="C44" s="19" t="s">
        <v>51</v>
      </c>
      <c r="D44" s="20" t="s">
        <v>23</v>
      </c>
      <c r="E44" s="20">
        <v>8</v>
      </c>
      <c r="F44" s="21">
        <f>4.1*2160*0.5</f>
        <v>4428</v>
      </c>
      <c r="G44" s="21">
        <f t="shared" si="2"/>
        <v>35424</v>
      </c>
      <c r="I44">
        <f>13.06+((2.9-2)/(3-2))*(16.86-13.6)</f>
        <v>15.994</v>
      </c>
    </row>
    <row r="45" spans="1:10" ht="60" x14ac:dyDescent="0.25">
      <c r="A45" s="12">
        <v>17</v>
      </c>
      <c r="B45" s="45" t="s">
        <v>86</v>
      </c>
      <c r="C45" s="45" t="s">
        <v>49</v>
      </c>
      <c r="D45" s="46" t="s">
        <v>29</v>
      </c>
      <c r="E45" s="46">
        <v>0.4</v>
      </c>
      <c r="F45" s="47">
        <f>46.15*1.1*1.2*2160</f>
        <v>131582.88</v>
      </c>
      <c r="G45" s="47">
        <f t="shared" si="2"/>
        <v>52633.152000000002</v>
      </c>
    </row>
    <row r="46" spans="1:10" ht="124.5" customHeight="1" x14ac:dyDescent="0.25">
      <c r="A46" s="12">
        <v>18</v>
      </c>
      <c r="B46" s="37" t="s">
        <v>81</v>
      </c>
      <c r="C46" s="54" t="s">
        <v>80</v>
      </c>
      <c r="D46" s="55" t="s">
        <v>15</v>
      </c>
      <c r="E46" s="38">
        <v>1</v>
      </c>
      <c r="F46" s="56">
        <f>65.596*0.15*1.2*2160</f>
        <v>25503.724799999996</v>
      </c>
      <c r="G46" s="56">
        <f t="shared" si="2"/>
        <v>25503.724799999996</v>
      </c>
      <c r="I46">
        <f>53.68+((2.9-2)/(3-2))*(66.92-53.68)</f>
        <v>65.596000000000004</v>
      </c>
    </row>
    <row r="47" spans="1:10" ht="45" x14ac:dyDescent="0.25">
      <c r="A47" s="12">
        <v>19</v>
      </c>
      <c r="B47" s="18" t="s">
        <v>21</v>
      </c>
      <c r="C47" s="19" t="s">
        <v>22</v>
      </c>
      <c r="D47" s="20" t="s">
        <v>23</v>
      </c>
      <c r="E47" s="20">
        <v>6</v>
      </c>
      <c r="F47" s="21">
        <f>2.4*2160</f>
        <v>5184</v>
      </c>
      <c r="G47" s="21">
        <f t="shared" si="2"/>
        <v>31104</v>
      </c>
    </row>
    <row r="48" spans="1:10" ht="60" x14ac:dyDescent="0.25">
      <c r="A48" s="12">
        <v>20</v>
      </c>
      <c r="B48" s="42" t="s">
        <v>88</v>
      </c>
      <c r="C48" s="42" t="s">
        <v>53</v>
      </c>
      <c r="D48" s="38" t="s">
        <v>32</v>
      </c>
      <c r="E48" s="38">
        <v>1</v>
      </c>
      <c r="F48" s="39">
        <f>9.615*1.2*1.2*2160</f>
        <v>29906.495999999999</v>
      </c>
      <c r="G48" s="39">
        <f t="shared" si="2"/>
        <v>29906.495999999999</v>
      </c>
      <c r="J48">
        <f>7.95+((2.9-2)/(3-2))*(9.8-7.95)</f>
        <v>9.6150000000000002</v>
      </c>
    </row>
    <row r="49" spans="1:7" ht="45" x14ac:dyDescent="0.25">
      <c r="A49" s="12">
        <v>21</v>
      </c>
      <c r="B49" s="18" t="s">
        <v>24</v>
      </c>
      <c r="C49" s="19" t="s">
        <v>25</v>
      </c>
      <c r="D49" s="20" t="s">
        <v>23</v>
      </c>
      <c r="E49" s="20">
        <v>8</v>
      </c>
      <c r="F49" s="21">
        <f>4.1*2160</f>
        <v>8856</v>
      </c>
      <c r="G49" s="21">
        <f t="shared" si="2"/>
        <v>70848</v>
      </c>
    </row>
    <row r="50" spans="1:7" ht="64.5" customHeight="1" x14ac:dyDescent="0.25">
      <c r="A50" s="12">
        <v>22</v>
      </c>
      <c r="B50" s="45" t="s">
        <v>52</v>
      </c>
      <c r="C50" s="45" t="s">
        <v>54</v>
      </c>
      <c r="D50" s="46" t="s">
        <v>29</v>
      </c>
      <c r="E50" s="46">
        <v>0.5</v>
      </c>
      <c r="F50" s="47">
        <f>57.68*2160*1.2</f>
        <v>149506.56</v>
      </c>
      <c r="G50" s="47">
        <f t="shared" si="2"/>
        <v>74753.279999999999</v>
      </c>
    </row>
    <row r="51" spans="1:7" ht="20.25" customHeight="1" x14ac:dyDescent="0.25">
      <c r="A51" s="15"/>
      <c r="B51" s="53" t="s">
        <v>93</v>
      </c>
      <c r="C51" s="43"/>
      <c r="D51" s="15"/>
      <c r="E51" s="15"/>
      <c r="F51" s="16"/>
      <c r="G51" s="16">
        <f>SUM(G43:G50)</f>
        <v>332609.58719999995</v>
      </c>
    </row>
    <row r="52" spans="1:7" ht="15.75" customHeight="1" x14ac:dyDescent="0.25">
      <c r="A52" s="57"/>
      <c r="B52" s="58"/>
      <c r="C52" s="48"/>
      <c r="D52" s="49"/>
      <c r="E52" s="49"/>
      <c r="F52" s="50"/>
      <c r="G52" s="51"/>
    </row>
    <row r="53" spans="1:7" ht="15.75" x14ac:dyDescent="0.25">
      <c r="A53" s="12"/>
      <c r="B53" s="119" t="s">
        <v>94</v>
      </c>
      <c r="C53" s="122"/>
      <c r="D53" s="122"/>
      <c r="E53" s="122"/>
      <c r="F53" s="122"/>
      <c r="G53" s="123"/>
    </row>
    <row r="54" spans="1:7" ht="48.75" customHeight="1" x14ac:dyDescent="0.25">
      <c r="A54" s="12">
        <v>23</v>
      </c>
      <c r="B54" s="42" t="s">
        <v>55</v>
      </c>
      <c r="C54" s="52" t="s">
        <v>33</v>
      </c>
      <c r="D54" s="38" t="s">
        <v>19</v>
      </c>
      <c r="E54" s="38">
        <v>12</v>
      </c>
      <c r="F54" s="39">
        <f>1.03*2160*1.2</f>
        <v>2669.76</v>
      </c>
      <c r="G54" s="39">
        <f>F54*E54</f>
        <v>32037.120000000003</v>
      </c>
    </row>
    <row r="55" spans="1:7" ht="46.5" customHeight="1" x14ac:dyDescent="0.25">
      <c r="A55" s="12">
        <v>24</v>
      </c>
      <c r="B55" s="59" t="s">
        <v>56</v>
      </c>
      <c r="C55" s="52" t="s">
        <v>34</v>
      </c>
      <c r="D55" s="38" t="s">
        <v>19</v>
      </c>
      <c r="E55" s="60">
        <v>25</v>
      </c>
      <c r="F55" s="39">
        <f>0.82*2160*1.2</f>
        <v>2125.4399999999996</v>
      </c>
      <c r="G55" s="61">
        <f>F55*E55</f>
        <v>53135.999999999993</v>
      </c>
    </row>
    <row r="56" spans="1:7" ht="31.5" customHeight="1" x14ac:dyDescent="0.25">
      <c r="A56" s="12">
        <v>25</v>
      </c>
      <c r="B56" s="62" t="s">
        <v>35</v>
      </c>
      <c r="C56" s="62" t="s">
        <v>36</v>
      </c>
      <c r="D56" s="63" t="s">
        <v>28</v>
      </c>
      <c r="E56" s="63">
        <v>40</v>
      </c>
      <c r="F56" s="64">
        <v>108</v>
      </c>
      <c r="G56" s="65">
        <v>16200</v>
      </c>
    </row>
    <row r="57" spans="1:7" ht="33.75" customHeight="1" x14ac:dyDescent="0.25">
      <c r="A57" s="12">
        <v>26</v>
      </c>
      <c r="B57" s="62" t="s">
        <v>37</v>
      </c>
      <c r="C57" s="62" t="s">
        <v>38</v>
      </c>
      <c r="D57" s="63" t="s">
        <v>28</v>
      </c>
      <c r="E57" s="66">
        <v>40</v>
      </c>
      <c r="F57" s="64">
        <v>151.20000000000002</v>
      </c>
      <c r="G57" s="65">
        <v>22680.000000000004</v>
      </c>
    </row>
    <row r="58" spans="1:7" ht="33" customHeight="1" x14ac:dyDescent="0.25">
      <c r="A58" s="12">
        <v>27</v>
      </c>
      <c r="B58" s="62" t="s">
        <v>57</v>
      </c>
      <c r="C58" s="62" t="s">
        <v>39</v>
      </c>
      <c r="D58" s="63" t="s">
        <v>40</v>
      </c>
      <c r="E58" s="63">
        <v>0.2</v>
      </c>
      <c r="F58" s="56">
        <f>46.15*2160*1.2</f>
        <v>119620.79999999999</v>
      </c>
      <c r="G58" s="65">
        <f>F58*E58</f>
        <v>23924.16</v>
      </c>
    </row>
    <row r="59" spans="1:7" ht="42.75" x14ac:dyDescent="0.25">
      <c r="A59" s="15"/>
      <c r="B59" s="26" t="s">
        <v>58</v>
      </c>
      <c r="C59" s="27"/>
      <c r="D59" s="28"/>
      <c r="E59" s="28"/>
      <c r="F59" s="29"/>
      <c r="G59" s="29">
        <f>SUM(G54:G58)</f>
        <v>147977.28</v>
      </c>
    </row>
    <row r="60" spans="1:7" ht="16.5" customHeight="1" x14ac:dyDescent="0.25">
      <c r="A60" s="40"/>
      <c r="B60" s="58"/>
      <c r="C60" s="48"/>
      <c r="D60" s="49"/>
      <c r="E60" s="49"/>
      <c r="F60" s="50"/>
      <c r="G60" s="51"/>
    </row>
    <row r="61" spans="1:7" ht="24" customHeight="1" x14ac:dyDescent="0.25">
      <c r="A61" s="67"/>
      <c r="B61" s="68" t="s">
        <v>41</v>
      </c>
      <c r="C61" s="69"/>
      <c r="D61" s="69"/>
      <c r="E61" s="69"/>
      <c r="F61" s="70"/>
      <c r="G61" s="16">
        <f>G59+G51+G40+G31+G22</f>
        <v>867629.00960640004</v>
      </c>
    </row>
    <row r="62" spans="1:7" ht="54.75" customHeight="1" x14ac:dyDescent="0.25"/>
    <row r="63" spans="1:7" ht="21" customHeight="1" x14ac:dyDescent="0.25">
      <c r="B63" s="73" t="s">
        <v>60</v>
      </c>
      <c r="C63" s="73"/>
      <c r="D63" s="73" t="s">
        <v>63</v>
      </c>
      <c r="E63" s="73"/>
      <c r="F63" s="73"/>
      <c r="G63" s="73"/>
    </row>
    <row r="64" spans="1:7" ht="20.25" customHeight="1" x14ac:dyDescent="0.25">
      <c r="B64" s="78" t="s">
        <v>89</v>
      </c>
      <c r="C64" s="75"/>
      <c r="D64" s="75" t="s">
        <v>61</v>
      </c>
      <c r="E64" s="75"/>
      <c r="F64" s="75"/>
      <c r="G64" s="75"/>
    </row>
    <row r="65" spans="2:7" ht="15.75" x14ac:dyDescent="0.25">
      <c r="B65" s="4"/>
      <c r="C65" s="73"/>
      <c r="D65" s="74"/>
      <c r="E65" s="73"/>
      <c r="F65" s="73"/>
      <c r="G65" s="73"/>
    </row>
    <row r="66" spans="2:7" ht="15.75" x14ac:dyDescent="0.25">
      <c r="B66" s="73"/>
      <c r="C66" s="73"/>
      <c r="D66" s="73"/>
      <c r="E66" s="73"/>
      <c r="F66" s="73"/>
      <c r="G66" s="73"/>
    </row>
    <row r="67" spans="2:7" ht="15.75" x14ac:dyDescent="0.25">
      <c r="B67" s="75" t="s">
        <v>90</v>
      </c>
      <c r="C67" s="73"/>
      <c r="D67" s="76"/>
      <c r="E67" s="76"/>
      <c r="F67" s="76"/>
      <c r="G67" s="77" t="s">
        <v>62</v>
      </c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 t="s">
        <v>0</v>
      </c>
      <c r="C69" s="3"/>
      <c r="D69" s="2" t="s">
        <v>1</v>
      </c>
      <c r="E69" s="2"/>
      <c r="F69" s="2"/>
      <c r="G69" s="2"/>
    </row>
  </sheetData>
  <mergeCells count="9">
    <mergeCell ref="B42:G42"/>
    <mergeCell ref="B53:G53"/>
    <mergeCell ref="A32:F32"/>
    <mergeCell ref="B33:G33"/>
    <mergeCell ref="C5:D5"/>
    <mergeCell ref="B25:G25"/>
    <mergeCell ref="B6:G6"/>
    <mergeCell ref="B7:G7"/>
    <mergeCell ref="H31:I31"/>
  </mergeCells>
  <pageMargins left="0.35433070866141736" right="0.27559055118110237" top="0.27559055118110237" bottom="0.3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topLeftCell="A19" zoomScaleNormal="100" workbookViewId="0">
      <selection activeCell="H11" sqref="H11"/>
    </sheetView>
  </sheetViews>
  <sheetFormatPr defaultRowHeight="15" x14ac:dyDescent="0.25"/>
  <cols>
    <col min="1" max="1" width="6.85546875" customWidth="1"/>
    <col min="2" max="2" width="36" style="5" customWidth="1"/>
    <col min="3" max="3" width="19.7109375" customWidth="1"/>
    <col min="4" max="4" width="13.5703125" customWidth="1"/>
    <col min="5" max="5" width="10" style="7" customWidth="1"/>
    <col min="6" max="6" width="14.7109375" customWidth="1"/>
    <col min="7" max="7" width="16.140625" customWidth="1"/>
  </cols>
  <sheetData>
    <row r="1" spans="2:5" s="6" customFormat="1" x14ac:dyDescent="0.25"/>
    <row r="2" spans="2:5" x14ac:dyDescent="0.25">
      <c r="B2"/>
      <c r="E2"/>
    </row>
    <row r="3" spans="2:5" x14ac:dyDescent="0.25">
      <c r="B3"/>
      <c r="E3"/>
    </row>
    <row r="4" spans="2:5" x14ac:dyDescent="0.25">
      <c r="B4"/>
      <c r="E4"/>
    </row>
    <row r="5" spans="2:5" x14ac:dyDescent="0.25">
      <c r="B5"/>
      <c r="E5"/>
    </row>
    <row r="6" spans="2:5" x14ac:dyDescent="0.25">
      <c r="B6"/>
      <c r="E6"/>
    </row>
    <row r="7" spans="2:5" x14ac:dyDescent="0.25">
      <c r="B7"/>
      <c r="E7"/>
    </row>
    <row r="8" spans="2:5" x14ac:dyDescent="0.25">
      <c r="B8"/>
      <c r="E8"/>
    </row>
    <row r="9" spans="2:5" ht="15.75" x14ac:dyDescent="0.25">
      <c r="B9" s="8"/>
      <c r="E9"/>
    </row>
    <row r="10" spans="2:5" x14ac:dyDescent="0.25">
      <c r="B10"/>
      <c r="E10"/>
    </row>
    <row r="11" spans="2:5" x14ac:dyDescent="0.25">
      <c r="B11"/>
      <c r="E11"/>
    </row>
    <row r="12" spans="2:5" x14ac:dyDescent="0.25">
      <c r="B12"/>
      <c r="E12"/>
    </row>
    <row r="13" spans="2:5" x14ac:dyDescent="0.25">
      <c r="B13"/>
      <c r="E13"/>
    </row>
    <row r="14" spans="2:5" ht="15" customHeight="1" x14ac:dyDescent="0.25">
      <c r="B14"/>
      <c r="E14"/>
    </row>
    <row r="15" spans="2:5" x14ac:dyDescent="0.25">
      <c r="B15"/>
      <c r="E15"/>
    </row>
    <row r="16" spans="2:5" x14ac:dyDescent="0.25">
      <c r="B16"/>
      <c r="E16"/>
    </row>
    <row r="17" spans="2:5" ht="22.5" customHeight="1" x14ac:dyDescent="0.25">
      <c r="B17"/>
      <c r="E17"/>
    </row>
    <row r="18" spans="2:5" ht="32.25" customHeight="1" x14ac:dyDescent="0.25">
      <c r="B18"/>
      <c r="E18"/>
    </row>
    <row r="19" spans="2:5" ht="22.5" customHeight="1" x14ac:dyDescent="0.25">
      <c r="B19"/>
      <c r="E19"/>
    </row>
    <row r="20" spans="2:5" ht="20.25" customHeight="1" x14ac:dyDescent="0.25">
      <c r="B20"/>
      <c r="E20"/>
    </row>
    <row r="21" spans="2:5" ht="20.25" customHeight="1" x14ac:dyDescent="0.25">
      <c r="B21"/>
      <c r="E21"/>
    </row>
    <row r="22" spans="2:5" ht="21" customHeight="1" x14ac:dyDescent="0.25">
      <c r="B22"/>
      <c r="E22"/>
    </row>
    <row r="23" spans="2:5" ht="20.25" customHeight="1" x14ac:dyDescent="0.25">
      <c r="B23"/>
      <c r="E23"/>
    </row>
    <row r="24" spans="2:5" ht="20.25" customHeight="1" x14ac:dyDescent="0.25">
      <c r="B24"/>
      <c r="E24"/>
    </row>
    <row r="25" spans="2:5" ht="21" customHeight="1" x14ac:dyDescent="0.25">
      <c r="B25"/>
      <c r="E25"/>
    </row>
    <row r="26" spans="2:5" ht="20.25" customHeight="1" x14ac:dyDescent="0.25">
      <c r="B26"/>
      <c r="E26"/>
    </row>
    <row r="27" spans="2:5" ht="22.5" customHeight="1" x14ac:dyDescent="0.25">
      <c r="B27"/>
      <c r="E27"/>
    </row>
    <row r="28" spans="2:5" ht="21" customHeight="1" x14ac:dyDescent="0.25">
      <c r="B28"/>
      <c r="E28"/>
    </row>
    <row r="29" spans="2:5" ht="19.5" customHeight="1" x14ac:dyDescent="0.25">
      <c r="B29"/>
      <c r="E29"/>
    </row>
    <row r="30" spans="2:5" ht="23.25" customHeight="1" x14ac:dyDescent="0.25">
      <c r="B30"/>
      <c r="E30"/>
    </row>
    <row r="31" spans="2:5" ht="24" customHeight="1" x14ac:dyDescent="0.25">
      <c r="B31"/>
      <c r="E31"/>
    </row>
    <row r="32" spans="2:5" ht="24" customHeight="1" x14ac:dyDescent="0.25">
      <c r="B32"/>
      <c r="E32"/>
    </row>
    <row r="33" spans="2:5" ht="30" customHeight="1" x14ac:dyDescent="0.25">
      <c r="B33"/>
      <c r="E33"/>
    </row>
    <row r="34" spans="2:5" ht="23.25" customHeight="1" x14ac:dyDescent="0.25">
      <c r="B34"/>
      <c r="E34"/>
    </row>
    <row r="35" spans="2:5" ht="21" customHeight="1" x14ac:dyDescent="0.25">
      <c r="B35"/>
      <c r="E35"/>
    </row>
    <row r="36" spans="2:5" ht="21" customHeight="1" x14ac:dyDescent="0.25">
      <c r="B36"/>
      <c r="E36"/>
    </row>
    <row r="37" spans="2:5" ht="35.25" customHeight="1" x14ac:dyDescent="0.25">
      <c r="B37"/>
      <c r="E37"/>
    </row>
    <row r="38" spans="2:5" x14ac:dyDescent="0.25">
      <c r="B38"/>
      <c r="E38"/>
    </row>
    <row r="39" spans="2:5" x14ac:dyDescent="0.25">
      <c r="B39"/>
      <c r="E39"/>
    </row>
    <row r="40" spans="2:5" x14ac:dyDescent="0.25">
      <c r="B40"/>
      <c r="E40"/>
    </row>
    <row r="41" spans="2:5" x14ac:dyDescent="0.25">
      <c r="B41"/>
      <c r="E41"/>
    </row>
    <row r="42" spans="2:5" x14ac:dyDescent="0.25">
      <c r="B42"/>
      <c r="E42"/>
    </row>
    <row r="43" spans="2:5" x14ac:dyDescent="0.25">
      <c r="B43"/>
      <c r="E43"/>
    </row>
    <row r="44" spans="2:5" x14ac:dyDescent="0.25">
      <c r="B44"/>
      <c r="E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Арсений</dc:creator>
  <cp:lastModifiedBy>Геращенко Сталина</cp:lastModifiedBy>
  <cp:lastPrinted>2019-05-28T06:58:23Z</cp:lastPrinted>
  <dcterms:created xsi:type="dcterms:W3CDTF">2017-03-22T17:02:55Z</dcterms:created>
  <dcterms:modified xsi:type="dcterms:W3CDTF">2021-05-25T12:55:51Z</dcterms:modified>
</cp:coreProperties>
</file>